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Technische Beratung\Normen, Merkblätter, Richtlinien\BIV Grabmalrichtlinien\Originalunterlagen\"/>
    </mc:Choice>
  </mc:AlternateContent>
  <xr:revisionPtr revIDLastSave="0" documentId="13_ncr:1_{FD141FC4-31F6-4BCF-88D4-6CEE5C1BA624}" xr6:coauthVersionLast="45" xr6:coauthVersionMax="45" xr10:uidLastSave="{00000000-0000-0000-0000-000000000000}"/>
  <bookViews>
    <workbookView xWindow="-108" yWindow="-108" windowWidth="23256" windowHeight="12576" tabRatio="792" xr2:uid="{00000000-000D-0000-FFFF-FFFF00000000}"/>
  </bookViews>
  <sheets>
    <sheet name="Eingaben + Ergebnisse" sheetId="8" r:id="rId1"/>
    <sheet name="Vorberechnungen" sheetId="2" r:id="rId2"/>
    <sheet name="Nachweis Kippsicherheit + Dübel" sheetId="6" r:id="rId3"/>
    <sheet name="Nachweis Gebrauchstauglichkeit" sheetId="3" r:id="rId4"/>
    <sheet name="Nachweis Bewehrung" sheetId="7" r:id="rId5"/>
    <sheet name="Nachweis Bodenpressung" sheetId="4" r:id="rId6"/>
    <sheet name="Nachweis Abdeckplatte" sheetId="9" r:id="rId7"/>
    <sheet name="Nachweis Einfassung" sheetId="10" r:id="rId8"/>
  </sheets>
  <definedNames>
    <definedName name="_xlnm.Print_Area" localSheetId="0">'Eingaben + Ergebnisse'!$A$1:$D$51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6" l="1"/>
  <c r="D2" i="6" l="1"/>
  <c r="D3" i="10" l="1"/>
  <c r="C3" i="3" l="1"/>
  <c r="D49" i="8" l="1"/>
  <c r="D10" i="10"/>
  <c r="D11" i="10"/>
  <c r="C3" i="7"/>
  <c r="D8" i="9"/>
  <c r="D3" i="9"/>
  <c r="C17" i="2"/>
  <c r="D1" i="10" s="1"/>
  <c r="C16" i="2"/>
  <c r="D1" i="9" s="1"/>
  <c r="C13" i="7"/>
  <c r="C4" i="2"/>
  <c r="C8" i="3"/>
  <c r="C6" i="3"/>
  <c r="C14" i="2"/>
  <c r="C8" i="2"/>
  <c r="C6" i="2"/>
  <c r="D8" i="6" s="1"/>
  <c r="C1" i="7"/>
  <c r="D4" i="6"/>
  <c r="C7" i="2"/>
  <c r="C13" i="2"/>
  <c r="D4" i="9" l="1"/>
  <c r="D5" i="9" s="1"/>
  <c r="D6" i="9" s="1"/>
  <c r="D4" i="10"/>
  <c r="D5" i="10" s="1"/>
  <c r="D6" i="10" s="1"/>
  <c r="D7" i="10" s="1"/>
  <c r="D51" i="8" s="1"/>
  <c r="C5" i="7"/>
  <c r="C11" i="2"/>
  <c r="D11" i="6"/>
  <c r="C10" i="2"/>
  <c r="D6" i="6"/>
  <c r="D9" i="6" s="1"/>
  <c r="D12" i="6" s="1"/>
  <c r="C5" i="4" l="1"/>
  <c r="C1" i="3"/>
  <c r="D14" i="6"/>
  <c r="D16" i="6" s="1"/>
  <c r="D20" i="6" s="1"/>
  <c r="D37" i="8"/>
  <c r="C4" i="3" l="1"/>
  <c r="D47" i="8" s="1"/>
  <c r="D41" i="8"/>
  <c r="D40" i="8"/>
  <c r="D39" i="8"/>
  <c r="C7" i="4" l="1"/>
  <c r="C7" i="7" l="1"/>
  <c r="C15" i="7" s="1"/>
  <c r="D43" i="8" s="1"/>
  <c r="D45" i="8"/>
</calcChain>
</file>

<file path=xl/sharedStrings.xml><?xml version="1.0" encoding="utf-8"?>
<sst xmlns="http://schemas.openxmlformats.org/spreadsheetml/2006/main" count="189" uniqueCount="106">
  <si>
    <t>Grabmal</t>
  </si>
  <si>
    <t>Höhe</t>
  </si>
  <si>
    <t>Breite</t>
  </si>
  <si>
    <t>Sockel</t>
  </si>
  <si>
    <t>[m]</t>
  </si>
  <si>
    <t>[t/m³]</t>
  </si>
  <si>
    <t>Länge</t>
  </si>
  <si>
    <t>[kN]</t>
  </si>
  <si>
    <t xml:space="preserve">Kippmoment </t>
  </si>
  <si>
    <t>Lastangriffhöhe</t>
  </si>
  <si>
    <t>Standmoment</t>
  </si>
  <si>
    <t>[kNm]</t>
  </si>
  <si>
    <t xml:space="preserve">Kippsicherheit </t>
  </si>
  <si>
    <t>Soll</t>
  </si>
  <si>
    <t>Ist</t>
  </si>
  <si>
    <t>Restkippmoment</t>
  </si>
  <si>
    <t>Dübelzugkraft</t>
  </si>
  <si>
    <t>(Dübel mittig)</t>
  </si>
  <si>
    <t>[kN/cm²]</t>
  </si>
  <si>
    <t>erforderliche Dübeloberfläche</t>
  </si>
  <si>
    <t>[cm²]</t>
  </si>
  <si>
    <t>[cm]</t>
  </si>
  <si>
    <t>Wichte Beton</t>
  </si>
  <si>
    <t>[kN/m³]</t>
  </si>
  <si>
    <t>[kN/m²]</t>
  </si>
  <si>
    <t>Gewicht Grabstein</t>
  </si>
  <si>
    <t>Gewicht Sockel</t>
  </si>
  <si>
    <t>Horizontale Belastung</t>
  </si>
  <si>
    <t>Gesamtkippmoment</t>
  </si>
  <si>
    <t>Breite Standfuge Grabstein</t>
  </si>
  <si>
    <t>Abminderung durch Schiefstellung 5%</t>
  </si>
  <si>
    <t>Dicke Fundament</t>
  </si>
  <si>
    <t>Fundamentschlankheit</t>
  </si>
  <si>
    <t>[-]</t>
  </si>
  <si>
    <t>Betonzugfestigkeit fctd</t>
  </si>
  <si>
    <t>Vergleichswert</t>
  </si>
  <si>
    <t>Verdübelung nötig?</t>
  </si>
  <si>
    <t>max. Bodenpressung eingehalten?</t>
  </si>
  <si>
    <t>zulässige Bodenpressung Vrd</t>
  </si>
  <si>
    <t xml:space="preserve">Bewehrung Fundament nötig? </t>
  </si>
  <si>
    <t>Teilsicherheitsbeiwert für N</t>
  </si>
  <si>
    <t>maximale Bodenpressung Ved</t>
  </si>
  <si>
    <t>Mindestbreite Fundament für Standsicherheit eingehalten?</t>
  </si>
  <si>
    <t>Angaben zur Verdübelung</t>
  </si>
  <si>
    <t>ø 12 mm</t>
  </si>
  <si>
    <t>ø 14 mm</t>
  </si>
  <si>
    <t>ø 16 mm</t>
  </si>
  <si>
    <t>Formfaktor</t>
  </si>
  <si>
    <t>Teilsicherheitsbeiwert GammaF</t>
  </si>
  <si>
    <t>Teilsicherheitsbeiwert GammaM</t>
  </si>
  <si>
    <t>Gewicht Fundament</t>
  </si>
  <si>
    <t>Gesamtgewicht ohne Fundament</t>
  </si>
  <si>
    <t>Ausmitte 1. Feld</t>
  </si>
  <si>
    <t>Ausmitte 2. Feld</t>
  </si>
  <si>
    <t>Gesamtgewicht mit Fundament</t>
  </si>
  <si>
    <t>Gesamthöhe mit Fundament</t>
  </si>
  <si>
    <t>b/3</t>
  </si>
  <si>
    <t>b/6</t>
  </si>
  <si>
    <t>Einwirkungen N</t>
  </si>
  <si>
    <t>Gesamthöhe ohne Fundament</t>
  </si>
  <si>
    <t>[MN/m²]</t>
  </si>
  <si>
    <t>max. Sohldruck</t>
  </si>
  <si>
    <t>Alpha ct, pl</t>
  </si>
  <si>
    <t>Gamma Beton</t>
  </si>
  <si>
    <t>Rohdichte Naturstein</t>
  </si>
  <si>
    <t>Fundament</t>
  </si>
  <si>
    <t>Abdeckplatte</t>
  </si>
  <si>
    <t>Gewicht Abdeckplatte</t>
  </si>
  <si>
    <t>Gewicht Einfassungsteil</t>
  </si>
  <si>
    <t>Einwirkungen</t>
  </si>
  <si>
    <t>Moment durch Eigenlast</t>
  </si>
  <si>
    <t>[kNcm]</t>
  </si>
  <si>
    <t>Moment durch Personenlast</t>
  </si>
  <si>
    <t>Personenlast</t>
  </si>
  <si>
    <t>maximales Flächenmoment</t>
  </si>
  <si>
    <t>[kNcm/cm]</t>
  </si>
  <si>
    <t>maximale Zugspannung</t>
  </si>
  <si>
    <t>Bauteilwiderstand</t>
  </si>
  <si>
    <t>[N/mm²]</t>
  </si>
  <si>
    <t>minimale Biegezugfestigkeit</t>
  </si>
  <si>
    <t>Biegezugfestigkeit Naturstein</t>
  </si>
  <si>
    <r>
      <rPr>
        <sz val="11"/>
        <color indexed="8"/>
        <rFont val="Calibri"/>
        <family val="2"/>
      </rPr>
      <t xml:space="preserve">≥ </t>
    </r>
    <r>
      <rPr>
        <sz val="11"/>
        <color indexed="8"/>
        <rFont val="Arial"/>
        <family val="2"/>
      </rPr>
      <t>10</t>
    </r>
  </si>
  <si>
    <t>Dicke der Abdeckplatte ausreichend?</t>
  </si>
  <si>
    <t>Last der Abdeckplatte</t>
  </si>
  <si>
    <t>Moment durch Plattenlast</t>
  </si>
  <si>
    <t>Widerstandsmoment</t>
  </si>
  <si>
    <t>[cm³]</t>
  </si>
  <si>
    <t>Abmessungen des Einfassungsteils ausreichend?</t>
  </si>
  <si>
    <t>längstes Einfassungsteil</t>
  </si>
  <si>
    <t>zul. Verbundspannung</t>
  </si>
  <si>
    <t>Überstand</t>
  </si>
  <si>
    <t xml:space="preserve">Eingabefeld = gelb markiert </t>
  </si>
  <si>
    <t>Copyright:</t>
  </si>
  <si>
    <t>Bundesverband Deutscher Steinmetze, Weißkirchener Weg 16, 60439 Frankfurt</t>
  </si>
  <si>
    <t>(jeweils Mindesteinbindetiefe in Sockel und Fundament)</t>
  </si>
  <si>
    <t>Friedhof:</t>
  </si>
  <si>
    <t>Name der Grabstätte:</t>
  </si>
  <si>
    <t>MUSTERMANN</t>
  </si>
  <si>
    <t>Lastangriffshöhe Kippmoment</t>
  </si>
  <si>
    <t>Hinweis: Diese Berechnungshilfe gilt nur für Grabmalhöhen (Sockel + Grabstein) ≤ 1,4 m, Grabsteindicken ≥ 12 cm und Einzelfundamente (Flachgründung) mit zentrischen Belastungen ohne Auskragungen</t>
  </si>
  <si>
    <t>Dicke (≥ 0,12 m)</t>
  </si>
  <si>
    <r>
      <t xml:space="preserve">Länge </t>
    </r>
    <r>
      <rPr>
        <sz val="11"/>
        <color indexed="8"/>
        <rFont val="Arial"/>
        <family val="2"/>
      </rPr>
      <t xml:space="preserve">(≥ Sockellänge)  </t>
    </r>
  </si>
  <si>
    <r>
      <t xml:space="preserve">Höhe </t>
    </r>
    <r>
      <rPr>
        <sz val="11"/>
        <color indexed="8"/>
        <rFont val="Arial"/>
        <family val="2"/>
      </rPr>
      <t>(≥ 0,2 m)</t>
    </r>
  </si>
  <si>
    <r>
      <t xml:space="preserve">Breite </t>
    </r>
    <r>
      <rPr>
        <sz val="11"/>
        <color indexed="8"/>
        <rFont val="Arial"/>
        <family val="2"/>
      </rPr>
      <t>(≥ 0,3 m)</t>
    </r>
  </si>
  <si>
    <t>Bemessungshilfe für Grabmalanlagen</t>
  </si>
  <si>
    <t>Version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</si>
</sst>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/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Fill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/>
    <xf numFmtId="0" fontId="3" fillId="0" borderId="0" xfId="0" applyFont="1" applyBorder="1"/>
    <xf numFmtId="0" fontId="4" fillId="0" borderId="3" xfId="0" applyFont="1" applyBorder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65" fontId="4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2" fontId="4" fillId="0" borderId="3" xfId="0" applyNumberFormat="1" applyFont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10" fillId="0" borderId="5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2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165" fontId="10" fillId="0" borderId="1" xfId="0" applyNumberFormat="1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>
      <alignment horizontal="left" vertical="center"/>
    </xf>
    <xf numFmtId="165" fontId="10" fillId="0" borderId="3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vertical="center"/>
    </xf>
    <xf numFmtId="0" fontId="10" fillId="0" borderId="6" xfId="0" applyFont="1" applyBorder="1"/>
    <xf numFmtId="0" fontId="9" fillId="0" borderId="6" xfId="0" applyFont="1" applyBorder="1"/>
    <xf numFmtId="0" fontId="10" fillId="0" borderId="6" xfId="0" applyFont="1" applyBorder="1" applyAlignment="1" applyProtection="1">
      <alignment horizontal="center"/>
      <protection hidden="1"/>
    </xf>
    <xf numFmtId="0" fontId="10" fillId="0" borderId="4" xfId="0" applyFont="1" applyBorder="1"/>
    <xf numFmtId="0" fontId="10" fillId="0" borderId="0" xfId="0" applyFont="1" applyBorder="1"/>
    <xf numFmtId="0" fontId="10" fillId="0" borderId="0" xfId="0" applyFont="1" applyBorder="1" applyAlignment="1" applyProtection="1">
      <alignment horizontal="center"/>
      <protection hidden="1"/>
    </xf>
    <xf numFmtId="0" fontId="10" fillId="0" borderId="4" xfId="0" applyFont="1" applyBorder="1" applyAlignment="1">
      <alignment wrapText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3" fillId="0" borderId="0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/>
    <xf numFmtId="0" fontId="4" fillId="0" borderId="1" xfId="0" applyFont="1" applyBorder="1" applyAlignment="1">
      <alignment horizontal="left" vertical="center" wrapText="1"/>
    </xf>
    <xf numFmtId="2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Standard" xfId="0" builtinId="0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331077</xdr:rowOff>
    </xdr:from>
    <xdr:to>
      <xdr:col>4</xdr:col>
      <xdr:colOff>0</xdr:colOff>
      <xdr:row>6</xdr:row>
      <xdr:rowOff>98773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1268C17-6B0F-400B-A6D3-F44780786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331077"/>
          <a:ext cx="1257300" cy="1263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2"/>
  <sheetViews>
    <sheetView tabSelected="1" showRuler="0" view="pageBreakPreview" topLeftCell="A25" zoomScaleNormal="100" zoomScaleSheetLayoutView="100" workbookViewId="0">
      <selection activeCell="D26" sqref="D26"/>
    </sheetView>
  </sheetViews>
  <sheetFormatPr baseColWidth="10" defaultColWidth="11.44140625" defaultRowHeight="13.8" x14ac:dyDescent="0.25"/>
  <cols>
    <col min="1" max="1" width="40.6640625" style="44" customWidth="1"/>
    <col min="2" max="2" width="23.88671875" style="41" customWidth="1"/>
    <col min="3" max="3" width="7.44140625" style="41" customWidth="1"/>
    <col min="4" max="4" width="27.88671875" style="94" customWidth="1"/>
    <col min="5" max="5" width="11.6640625" style="41" customWidth="1"/>
    <col min="6" max="6" width="15.109375" style="41" customWidth="1"/>
    <col min="7" max="7" width="15.6640625" style="41" customWidth="1"/>
    <col min="8" max="8" width="20.6640625" style="42" customWidth="1"/>
    <col min="9" max="11" width="10.6640625" style="42" customWidth="1"/>
    <col min="12" max="15" width="10.6640625" style="43" customWidth="1"/>
    <col min="16" max="16" width="10.6640625" style="42" customWidth="1"/>
    <col min="17" max="23" width="10.6640625" style="43" customWidth="1"/>
    <col min="24" max="24" width="5.6640625" style="43" customWidth="1"/>
    <col min="25" max="25" width="5.6640625" style="41" customWidth="1"/>
    <col min="26" max="26" width="20.6640625" style="41" customWidth="1"/>
    <col min="27" max="37" width="10.6640625" style="41" customWidth="1"/>
    <col min="38" max="256" width="9.109375" style="41" customWidth="1"/>
    <col min="257" max="16384" width="11.44140625" style="41"/>
  </cols>
  <sheetData>
    <row r="1" spans="1:24" ht="28.2" x14ac:dyDescent="0.5">
      <c r="A1" s="39"/>
      <c r="B1" s="40"/>
      <c r="C1" s="40"/>
      <c r="D1" s="40"/>
    </row>
    <row r="2" spans="1:24" ht="24.6" x14ac:dyDescent="0.4">
      <c r="A2" s="40" t="s">
        <v>104</v>
      </c>
      <c r="B2" s="40"/>
      <c r="C2" s="40"/>
      <c r="D2" s="40"/>
    </row>
    <row r="3" spans="1:24" ht="18.75" customHeight="1" x14ac:dyDescent="0.4">
      <c r="A3" s="1" t="s">
        <v>105</v>
      </c>
      <c r="B3" s="40"/>
      <c r="C3" s="40"/>
      <c r="D3" s="40"/>
    </row>
    <row r="4" spans="1:24" ht="15" customHeight="1" x14ac:dyDescent="0.4">
      <c r="B4" s="40"/>
      <c r="C4" s="40"/>
      <c r="D4" s="40"/>
    </row>
    <row r="5" spans="1:24" ht="15" customHeight="1" x14ac:dyDescent="0.4">
      <c r="A5" s="44" t="s">
        <v>92</v>
      </c>
      <c r="B5" s="40"/>
      <c r="C5" s="40"/>
      <c r="D5" s="40"/>
    </row>
    <row r="6" spans="1:24" ht="15" customHeight="1" x14ac:dyDescent="0.4">
      <c r="A6" s="44" t="s">
        <v>93</v>
      </c>
      <c r="B6" s="40"/>
      <c r="C6" s="40"/>
      <c r="D6" s="40"/>
    </row>
    <row r="7" spans="1:24" ht="15" customHeight="1" x14ac:dyDescent="0.4">
      <c r="B7" s="40"/>
      <c r="C7" s="40"/>
      <c r="D7" s="40"/>
    </row>
    <row r="8" spans="1:24" s="45" customFormat="1" ht="15" customHeight="1" x14ac:dyDescent="0.25">
      <c r="A8" s="102" t="s">
        <v>99</v>
      </c>
      <c r="B8" s="102"/>
      <c r="C8" s="102"/>
      <c r="D8" s="102"/>
      <c r="H8" s="46"/>
      <c r="I8" s="46"/>
      <c r="J8" s="46"/>
      <c r="K8" s="46"/>
      <c r="L8" s="47"/>
      <c r="M8" s="47"/>
      <c r="N8" s="47"/>
      <c r="O8" s="47"/>
      <c r="P8" s="46"/>
      <c r="Q8" s="47"/>
      <c r="R8" s="47"/>
      <c r="S8" s="47"/>
      <c r="T8" s="47"/>
      <c r="U8" s="47"/>
      <c r="V8" s="47"/>
      <c r="W8" s="47"/>
      <c r="X8" s="47"/>
    </row>
    <row r="9" spans="1:24" s="45" customFormat="1" ht="15" customHeight="1" x14ac:dyDescent="0.25">
      <c r="A9" s="102"/>
      <c r="B9" s="102"/>
      <c r="C9" s="102"/>
      <c r="D9" s="102"/>
      <c r="H9" s="46"/>
      <c r="I9" s="46"/>
      <c r="J9" s="46"/>
      <c r="K9" s="46"/>
      <c r="L9" s="47"/>
      <c r="M9" s="47"/>
      <c r="N9" s="47"/>
      <c r="O9" s="47"/>
      <c r="P9" s="46"/>
      <c r="Q9" s="47"/>
      <c r="R9" s="47"/>
      <c r="S9" s="47"/>
      <c r="T9" s="47"/>
      <c r="U9" s="47"/>
      <c r="V9" s="47"/>
      <c r="W9" s="47"/>
      <c r="X9" s="47"/>
    </row>
    <row r="10" spans="1:24" s="45" customFormat="1" ht="24" customHeight="1" x14ac:dyDescent="0.25">
      <c r="A10" s="102"/>
      <c r="B10" s="102"/>
      <c r="C10" s="102"/>
      <c r="D10" s="102"/>
      <c r="H10" s="46"/>
      <c r="I10" s="46"/>
      <c r="J10" s="46"/>
      <c r="K10" s="46"/>
      <c r="L10" s="47"/>
      <c r="M10" s="47"/>
      <c r="N10" s="47"/>
      <c r="O10" s="47"/>
      <c r="P10" s="46"/>
      <c r="Q10" s="47"/>
      <c r="R10" s="47"/>
      <c r="S10" s="47"/>
      <c r="T10" s="47"/>
      <c r="U10" s="47"/>
      <c r="V10" s="47"/>
      <c r="W10" s="47"/>
      <c r="X10" s="47"/>
    </row>
    <row r="11" spans="1:24" ht="15" customHeight="1" x14ac:dyDescent="0.25">
      <c r="A11" s="48" t="s">
        <v>95</v>
      </c>
      <c r="B11" s="110" t="s">
        <v>97</v>
      </c>
      <c r="C11" s="111"/>
      <c r="D11" s="109" t="s">
        <v>91</v>
      </c>
    </row>
    <row r="12" spans="1:24" x14ac:dyDescent="0.25">
      <c r="A12" s="48" t="s">
        <v>96</v>
      </c>
      <c r="B12" s="110" t="s">
        <v>97</v>
      </c>
      <c r="C12" s="111"/>
      <c r="D12" s="109"/>
    </row>
    <row r="13" spans="1:24" x14ac:dyDescent="0.25">
      <c r="B13" s="49"/>
      <c r="C13" s="50"/>
      <c r="D13" s="51"/>
    </row>
    <row r="14" spans="1:24" x14ac:dyDescent="0.25">
      <c r="A14" s="103" t="s">
        <v>0</v>
      </c>
      <c r="B14" s="52" t="s">
        <v>1</v>
      </c>
      <c r="C14" s="53" t="s">
        <v>4</v>
      </c>
      <c r="D14" s="54">
        <v>1.1000000000000001</v>
      </c>
    </row>
    <row r="15" spans="1:24" x14ac:dyDescent="0.25">
      <c r="A15" s="104"/>
      <c r="B15" s="55" t="s">
        <v>2</v>
      </c>
      <c r="C15" s="53" t="s">
        <v>4</v>
      </c>
      <c r="D15" s="54">
        <v>0.6</v>
      </c>
    </row>
    <row r="16" spans="1:24" x14ac:dyDescent="0.25">
      <c r="A16" s="104"/>
      <c r="B16" s="17" t="s">
        <v>100</v>
      </c>
      <c r="C16" s="53" t="s">
        <v>4</v>
      </c>
      <c r="D16" s="54">
        <v>0.16</v>
      </c>
    </row>
    <row r="17" spans="1:38" x14ac:dyDescent="0.25">
      <c r="A17" s="104"/>
      <c r="B17" s="56" t="s">
        <v>47</v>
      </c>
      <c r="C17" s="57" t="s">
        <v>33</v>
      </c>
      <c r="D17" s="101">
        <v>0.8</v>
      </c>
    </row>
    <row r="18" spans="1:38" x14ac:dyDescent="0.25">
      <c r="A18" s="58"/>
      <c r="B18" s="59"/>
      <c r="C18" s="60"/>
      <c r="D18" s="61"/>
    </row>
    <row r="19" spans="1:38" x14ac:dyDescent="0.25">
      <c r="A19" s="104" t="s">
        <v>3</v>
      </c>
      <c r="B19" s="62" t="s">
        <v>6</v>
      </c>
      <c r="C19" s="63" t="s">
        <v>4</v>
      </c>
      <c r="D19" s="64">
        <v>0.8</v>
      </c>
    </row>
    <row r="20" spans="1:38" ht="15" customHeight="1" x14ac:dyDescent="0.25">
      <c r="A20" s="104"/>
      <c r="B20" s="65" t="s">
        <v>2</v>
      </c>
      <c r="C20" s="53" t="s">
        <v>4</v>
      </c>
      <c r="D20" s="54">
        <v>0.25</v>
      </c>
      <c r="G20" s="66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</row>
    <row r="21" spans="1:38" x14ac:dyDescent="0.25">
      <c r="A21" s="112"/>
      <c r="B21" s="98" t="s">
        <v>1</v>
      </c>
      <c r="C21" s="53" t="s">
        <v>4</v>
      </c>
      <c r="D21" s="54">
        <v>0.2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</row>
    <row r="22" spans="1:38" x14ac:dyDescent="0.25">
      <c r="A22" s="58"/>
      <c r="B22" s="99"/>
      <c r="C22" s="60"/>
      <c r="D22" s="61"/>
    </row>
    <row r="23" spans="1:38" s="68" customFormat="1" ht="15" customHeight="1" x14ac:dyDescent="0.25">
      <c r="A23" s="103" t="s">
        <v>65</v>
      </c>
      <c r="B23" s="100" t="s">
        <v>101</v>
      </c>
      <c r="C23" s="53" t="s">
        <v>4</v>
      </c>
      <c r="D23" s="54">
        <v>1</v>
      </c>
      <c r="G23" s="41"/>
      <c r="H23" s="41"/>
      <c r="I23" s="41"/>
      <c r="J23" s="41"/>
      <c r="K23" s="41"/>
      <c r="L23" s="69"/>
      <c r="M23" s="69"/>
      <c r="N23" s="69"/>
      <c r="O23" s="69"/>
      <c r="P23" s="69"/>
      <c r="Q23" s="69"/>
      <c r="R23" s="69"/>
      <c r="S23" s="69"/>
      <c r="T23" s="69"/>
      <c r="V23" s="69"/>
      <c r="AF23" s="70"/>
      <c r="AG23" s="70"/>
      <c r="AH23" s="70"/>
      <c r="AI23" s="70"/>
      <c r="AJ23" s="70"/>
    </row>
    <row r="24" spans="1:38" ht="14.4" x14ac:dyDescent="0.25">
      <c r="A24" s="104"/>
      <c r="B24" s="17" t="s">
        <v>102</v>
      </c>
      <c r="C24" s="53" t="s">
        <v>4</v>
      </c>
      <c r="D24" s="54">
        <v>0.2</v>
      </c>
      <c r="G24" s="67"/>
      <c r="T24" s="71"/>
      <c r="V24" s="71"/>
      <c r="AF24" s="70"/>
      <c r="AG24" s="70"/>
      <c r="AH24" s="70"/>
      <c r="AI24" s="70"/>
      <c r="AJ24" s="70"/>
    </row>
    <row r="25" spans="1:38" ht="14.4" x14ac:dyDescent="0.25">
      <c r="A25" s="112"/>
      <c r="B25" s="97" t="s">
        <v>103</v>
      </c>
      <c r="C25" s="72" t="s">
        <v>4</v>
      </c>
      <c r="D25" s="54">
        <v>0.5</v>
      </c>
      <c r="G25" s="67"/>
      <c r="T25" s="73"/>
      <c r="V25" s="73"/>
      <c r="W25" s="50"/>
      <c r="AF25" s="70"/>
      <c r="AG25" s="70"/>
      <c r="AH25" s="70"/>
      <c r="AI25" s="70"/>
      <c r="AJ25" s="70"/>
      <c r="AL25" s="49"/>
    </row>
    <row r="26" spans="1:38" x14ac:dyDescent="0.25">
      <c r="A26" s="58"/>
      <c r="B26" s="99"/>
      <c r="C26" s="60"/>
      <c r="D26" s="61"/>
    </row>
    <row r="27" spans="1:38" x14ac:dyDescent="0.25">
      <c r="A27" s="103" t="s">
        <v>66</v>
      </c>
      <c r="B27" s="97" t="s">
        <v>6</v>
      </c>
      <c r="C27" s="53" t="s">
        <v>4</v>
      </c>
      <c r="D27" s="54">
        <v>0</v>
      </c>
      <c r="G27" s="67"/>
      <c r="AL27" s="108"/>
    </row>
    <row r="28" spans="1:38" x14ac:dyDescent="0.25">
      <c r="A28" s="104"/>
      <c r="B28" s="52" t="s">
        <v>2</v>
      </c>
      <c r="C28" s="53" t="s">
        <v>4</v>
      </c>
      <c r="D28" s="54">
        <v>0</v>
      </c>
      <c r="G28" s="67"/>
      <c r="AL28" s="108"/>
    </row>
    <row r="29" spans="1:38" x14ac:dyDescent="0.25">
      <c r="A29" s="112"/>
      <c r="B29" s="52" t="s">
        <v>1</v>
      </c>
      <c r="C29" s="72" t="s">
        <v>4</v>
      </c>
      <c r="D29" s="54">
        <v>0</v>
      </c>
      <c r="G29" s="67"/>
      <c r="AL29" s="74"/>
    </row>
    <row r="30" spans="1:38" x14ac:dyDescent="0.25">
      <c r="A30" s="58"/>
      <c r="B30" s="59"/>
      <c r="C30" s="60"/>
      <c r="D30" s="61"/>
    </row>
    <row r="31" spans="1:38" ht="14.4" x14ac:dyDescent="0.25">
      <c r="A31" s="103" t="s">
        <v>88</v>
      </c>
      <c r="B31" s="52" t="s">
        <v>6</v>
      </c>
      <c r="C31" s="53" t="s">
        <v>4</v>
      </c>
      <c r="D31" s="54">
        <v>0</v>
      </c>
      <c r="G31" s="69"/>
      <c r="X31" s="75"/>
      <c r="Y31" s="75"/>
      <c r="AL31" s="74"/>
    </row>
    <row r="32" spans="1:38" ht="14.4" x14ac:dyDescent="0.25">
      <c r="A32" s="104"/>
      <c r="B32" s="52" t="s">
        <v>2</v>
      </c>
      <c r="C32" s="53" t="s">
        <v>4</v>
      </c>
      <c r="D32" s="54">
        <v>0</v>
      </c>
      <c r="G32" s="43"/>
      <c r="X32" s="75"/>
      <c r="Y32" s="75"/>
      <c r="AL32" s="74"/>
    </row>
    <row r="33" spans="1:38" ht="14.4" x14ac:dyDescent="0.25">
      <c r="A33" s="112"/>
      <c r="B33" s="52" t="s">
        <v>1</v>
      </c>
      <c r="C33" s="72" t="s">
        <v>4</v>
      </c>
      <c r="D33" s="54">
        <v>0</v>
      </c>
      <c r="G33" s="43"/>
      <c r="X33" s="75"/>
      <c r="Y33" s="75"/>
      <c r="AL33" s="74"/>
    </row>
    <row r="34" spans="1:38" x14ac:dyDescent="0.25">
      <c r="A34" s="58"/>
      <c r="B34" s="59"/>
      <c r="C34" s="60"/>
      <c r="D34" s="61"/>
    </row>
    <row r="35" spans="1:38" x14ac:dyDescent="0.25">
      <c r="A35" s="76" t="s">
        <v>64</v>
      </c>
      <c r="B35" s="55"/>
      <c r="C35" s="53" t="s">
        <v>5</v>
      </c>
      <c r="D35" s="54">
        <v>2.8</v>
      </c>
      <c r="X35" s="50"/>
      <c r="Y35" s="49"/>
      <c r="AL35" s="50"/>
    </row>
    <row r="36" spans="1:38" x14ac:dyDescent="0.25">
      <c r="A36" s="58"/>
      <c r="B36" s="59"/>
      <c r="C36" s="60"/>
      <c r="D36" s="77"/>
    </row>
    <row r="37" spans="1:38" x14ac:dyDescent="0.25">
      <c r="A37" s="76" t="s">
        <v>36</v>
      </c>
      <c r="B37" s="55"/>
      <c r="C37" s="55"/>
      <c r="D37" s="78" t="str">
        <f>IF('Nachweis Kippsicherheit + Dübel'!D11 &gt; 'Nachweis Kippsicherheit + Dübel'!D12,"Ja","Nein")</f>
        <v>Ja</v>
      </c>
    </row>
    <row r="38" spans="1:38" x14ac:dyDescent="0.25">
      <c r="A38" s="58"/>
      <c r="B38" s="59"/>
      <c r="C38" s="60"/>
      <c r="D38" s="79"/>
    </row>
    <row r="39" spans="1:38" x14ac:dyDescent="0.25">
      <c r="A39" s="76" t="s">
        <v>43</v>
      </c>
      <c r="B39" s="52" t="s">
        <v>44</v>
      </c>
      <c r="C39" s="53" t="s">
        <v>21</v>
      </c>
      <c r="D39" s="80">
        <f>IF(D37="Ja",(IF((('Nachweis Kippsicherheit + Dübel'!D20/(12*3.14))*10)&lt;10,10,(('Nachweis Kippsicherheit + Dübel'!D20/(12*3.14))*10))),0)</f>
        <v>15.090208067940553</v>
      </c>
      <c r="W39" s="50"/>
      <c r="X39" s="50"/>
    </row>
    <row r="40" spans="1:38" x14ac:dyDescent="0.25">
      <c r="A40" s="105" t="s">
        <v>94</v>
      </c>
      <c r="B40" s="52" t="s">
        <v>45</v>
      </c>
      <c r="C40" s="53" t="s">
        <v>21</v>
      </c>
      <c r="D40" s="80">
        <f>IF(D37="Ja",(IF((('Nachweis Kippsicherheit + Dübel'!D20/(14*3.14))*10)&lt;10,10,(('Nachweis Kippsicherheit + Dübel'!D20/(14*3.14))*10))),0)</f>
        <v>12.934464058234759</v>
      </c>
      <c r="W40" s="50"/>
      <c r="X40" s="50"/>
    </row>
    <row r="41" spans="1:38" x14ac:dyDescent="0.25">
      <c r="A41" s="106"/>
      <c r="B41" s="81" t="s">
        <v>46</v>
      </c>
      <c r="C41" s="57" t="s">
        <v>21</v>
      </c>
      <c r="D41" s="82">
        <f>IF(D37="Ja",(IF((('Nachweis Kippsicherheit + Dübel'!D20/(16*3.14))*10)&lt;10,10,('Nachweis Kippsicherheit + Dübel'!D20/(16*3.14))*10)),0)</f>
        <v>11.317656050955415</v>
      </c>
      <c r="W41" s="83"/>
      <c r="X41" s="50"/>
    </row>
    <row r="42" spans="1:38" x14ac:dyDescent="0.25">
      <c r="A42" s="84"/>
      <c r="B42" s="85"/>
      <c r="C42" s="85"/>
      <c r="D42" s="86"/>
      <c r="W42" s="50"/>
      <c r="X42" s="50"/>
    </row>
    <row r="43" spans="1:38" x14ac:dyDescent="0.25">
      <c r="A43" s="87" t="s">
        <v>39</v>
      </c>
      <c r="B43" s="59"/>
      <c r="C43" s="59"/>
      <c r="D43" s="78" t="str">
        <f>IF(AND('Nachweis Bewehrung'!C5&gt;1,'Nachweis Bewehrung'!C5&gt;'Nachweis Bewehrung'!C15),"Nein","Ja")</f>
        <v>Nein</v>
      </c>
      <c r="W43" s="108"/>
      <c r="X43" s="50"/>
    </row>
    <row r="44" spans="1:38" x14ac:dyDescent="0.25">
      <c r="A44" s="88"/>
      <c r="B44" s="49"/>
      <c r="C44" s="49"/>
      <c r="D44" s="89"/>
      <c r="W44" s="108"/>
      <c r="X44" s="50"/>
    </row>
    <row r="45" spans="1:38" x14ac:dyDescent="0.25">
      <c r="A45" s="87" t="s">
        <v>37</v>
      </c>
      <c r="B45" s="59"/>
      <c r="C45" s="59"/>
      <c r="D45" s="78" t="str">
        <f>IF('Nachweis Bodenpressung'!C7 &lt; 'Nachweis Bodenpressung'!C1,"Ja","Nein")</f>
        <v>Ja</v>
      </c>
      <c r="W45" s="74"/>
      <c r="X45" s="50"/>
    </row>
    <row r="46" spans="1:38" x14ac:dyDescent="0.25">
      <c r="A46" s="88"/>
      <c r="B46" s="49"/>
      <c r="C46" s="49"/>
      <c r="D46" s="89"/>
      <c r="W46" s="74"/>
      <c r="X46" s="50"/>
    </row>
    <row r="47" spans="1:38" ht="27.6" x14ac:dyDescent="0.25">
      <c r="A47" s="90" t="s">
        <v>42</v>
      </c>
      <c r="B47" s="59"/>
      <c r="C47" s="59"/>
      <c r="D47" s="91" t="str">
        <f>IF(AND('Nachweis Gebrauchstauglichkeit'!C1&lt;'Nachweis Gebrauchstauglichkeit'!C8,'Nachweis Gebrauchstauglichkeit'!C4&lt;'Nachweis Gebrauchstauglichkeit'!C6),"Ja","Nein")</f>
        <v>Ja</v>
      </c>
      <c r="W47" s="74"/>
      <c r="X47" s="50"/>
    </row>
    <row r="48" spans="1:38" x14ac:dyDescent="0.25">
      <c r="A48" s="48"/>
      <c r="B48" s="49"/>
      <c r="C48" s="49"/>
      <c r="D48" s="92"/>
      <c r="W48" s="74"/>
      <c r="X48" s="50"/>
    </row>
    <row r="49" spans="1:24" ht="30" customHeight="1" x14ac:dyDescent="0.25">
      <c r="A49" s="93" t="s">
        <v>82</v>
      </c>
      <c r="B49" s="59"/>
      <c r="C49" s="59"/>
      <c r="D49" s="91" t="str">
        <f>IF((OR((D27=0),(D28=0),(D29=0))),"-",(IF('Nachweis Abdeckplatte'!D6&lt;'Nachweis Abdeckplatte'!D8,"Ja","Nein")))</f>
        <v>-</v>
      </c>
      <c r="W49" s="74"/>
      <c r="X49" s="50"/>
    </row>
    <row r="50" spans="1:24" x14ac:dyDescent="0.25">
      <c r="A50" s="48"/>
      <c r="B50" s="49"/>
      <c r="C50" s="49"/>
      <c r="D50" s="92"/>
      <c r="W50" s="74"/>
      <c r="X50" s="50"/>
    </row>
    <row r="51" spans="1:24" ht="27.6" x14ac:dyDescent="0.25">
      <c r="A51" s="90" t="s">
        <v>87</v>
      </c>
      <c r="B51" s="59"/>
      <c r="C51" s="59"/>
      <c r="D51" s="91" t="str">
        <f>IF((OR((D31=0),(D32=0),(D33=0))),"-",(IF('Nachweis Einfassung'!D7&lt;'Nachweis Einfassung'!D10,"Ja","Nein")))</f>
        <v>-</v>
      </c>
      <c r="W51" s="50"/>
      <c r="X51" s="50"/>
    </row>
    <row r="52" spans="1:24" x14ac:dyDescent="0.25">
      <c r="T52" s="50"/>
      <c r="U52" s="50"/>
      <c r="V52" s="50"/>
      <c r="W52" s="50"/>
      <c r="X52" s="50"/>
    </row>
    <row r="53" spans="1:24" x14ac:dyDescent="0.25">
      <c r="T53" s="50"/>
      <c r="U53" s="50"/>
      <c r="V53" s="50"/>
      <c r="W53" s="50"/>
      <c r="X53" s="50"/>
    </row>
    <row r="54" spans="1:24" x14ac:dyDescent="0.25">
      <c r="A54" s="41"/>
      <c r="T54" s="50"/>
      <c r="U54" s="50"/>
      <c r="V54" s="50"/>
      <c r="W54" s="50"/>
      <c r="X54" s="50"/>
    </row>
    <row r="55" spans="1:24" x14ac:dyDescent="0.25">
      <c r="A55" s="41"/>
    </row>
    <row r="60" spans="1:24" x14ac:dyDescent="0.25">
      <c r="L60" s="50"/>
      <c r="M60" s="50"/>
      <c r="N60" s="50"/>
      <c r="O60" s="50"/>
      <c r="P60" s="51"/>
      <c r="Q60" s="50"/>
      <c r="R60" s="50"/>
      <c r="S60" s="50"/>
      <c r="T60" s="50"/>
      <c r="U60" s="50"/>
      <c r="V60" s="50"/>
      <c r="W60" s="50"/>
    </row>
    <row r="61" spans="1:24" x14ac:dyDescent="0.25">
      <c r="L61" s="50"/>
      <c r="M61" s="50"/>
      <c r="N61" s="50"/>
      <c r="O61" s="50"/>
      <c r="P61" s="51"/>
      <c r="Q61" s="50"/>
      <c r="R61" s="50"/>
      <c r="S61" s="50"/>
      <c r="T61" s="50"/>
      <c r="U61" s="50"/>
      <c r="V61" s="50"/>
      <c r="W61" s="50"/>
    </row>
    <row r="62" spans="1:24" ht="14.4" x14ac:dyDescent="0.25">
      <c r="L62" s="95"/>
      <c r="M62" s="75"/>
      <c r="N62" s="75"/>
      <c r="O62" s="75"/>
      <c r="P62" s="75"/>
      <c r="Q62" s="75"/>
      <c r="R62" s="75"/>
      <c r="S62" s="75"/>
      <c r="T62" s="50"/>
      <c r="U62" s="50"/>
      <c r="V62" s="50"/>
      <c r="W62" s="50"/>
    </row>
    <row r="63" spans="1:24" ht="14.4" x14ac:dyDescent="0.25">
      <c r="L63" s="95"/>
      <c r="M63" s="73"/>
      <c r="N63" s="73"/>
      <c r="O63" s="73"/>
      <c r="P63" s="73"/>
      <c r="Q63" s="73"/>
      <c r="R63" s="73"/>
      <c r="S63" s="73"/>
      <c r="T63" s="50"/>
      <c r="U63" s="50"/>
      <c r="V63" s="50"/>
      <c r="W63" s="50"/>
    </row>
    <row r="64" spans="1:24" ht="14.4" x14ac:dyDescent="0.25">
      <c r="L64" s="95"/>
      <c r="M64" s="75"/>
      <c r="N64" s="75"/>
      <c r="O64" s="75"/>
      <c r="P64" s="75"/>
      <c r="Q64" s="75"/>
      <c r="R64" s="75"/>
      <c r="S64" s="75"/>
      <c r="T64" s="50"/>
      <c r="U64" s="50"/>
      <c r="V64" s="50"/>
      <c r="W64" s="50"/>
    </row>
    <row r="65" spans="12:23" ht="14.4" x14ac:dyDescent="0.25">
      <c r="L65" s="95"/>
      <c r="M65" s="75"/>
      <c r="N65" s="75"/>
      <c r="O65" s="75"/>
      <c r="P65" s="75"/>
      <c r="Q65" s="75"/>
      <c r="R65" s="75"/>
      <c r="S65" s="75"/>
      <c r="T65" s="50"/>
      <c r="U65" s="50"/>
      <c r="V65" s="50"/>
      <c r="W65" s="50"/>
    </row>
    <row r="66" spans="12:23" ht="14.4" x14ac:dyDescent="0.25">
      <c r="L66" s="95"/>
      <c r="M66" s="75"/>
      <c r="N66" s="75"/>
      <c r="O66" s="75"/>
      <c r="P66" s="75"/>
      <c r="Q66" s="75"/>
      <c r="R66" s="75"/>
      <c r="S66" s="75"/>
      <c r="T66" s="50"/>
      <c r="U66" s="50"/>
      <c r="V66" s="50"/>
      <c r="W66" s="50"/>
    </row>
    <row r="67" spans="12:23" ht="14.4" x14ac:dyDescent="0.25">
      <c r="L67" s="95"/>
      <c r="M67" s="75"/>
      <c r="N67" s="75"/>
      <c r="O67" s="75"/>
      <c r="P67" s="75"/>
      <c r="Q67" s="75"/>
      <c r="R67" s="75"/>
      <c r="S67" s="75"/>
      <c r="T67" s="50"/>
      <c r="U67" s="50"/>
      <c r="V67" s="50"/>
      <c r="W67" s="50"/>
    </row>
    <row r="68" spans="12:23" ht="14.4" x14ac:dyDescent="0.25">
      <c r="L68" s="95"/>
      <c r="M68" s="75"/>
      <c r="N68" s="75"/>
      <c r="O68" s="75"/>
      <c r="P68" s="75"/>
      <c r="Q68" s="75"/>
      <c r="R68" s="75"/>
      <c r="S68" s="75"/>
      <c r="T68" s="50"/>
      <c r="U68" s="50"/>
      <c r="V68" s="50"/>
      <c r="W68" s="50"/>
    </row>
    <row r="69" spans="12:23" ht="14.4" x14ac:dyDescent="0.25">
      <c r="L69" s="95"/>
      <c r="M69" s="96"/>
      <c r="N69" s="75"/>
      <c r="O69" s="75"/>
      <c r="P69" s="75"/>
      <c r="Q69" s="75"/>
      <c r="R69" s="75"/>
      <c r="S69" s="75"/>
      <c r="T69" s="50"/>
      <c r="U69" s="50"/>
      <c r="V69" s="50"/>
      <c r="W69" s="50"/>
    </row>
    <row r="70" spans="12:23" ht="14.4" x14ac:dyDescent="0.25">
      <c r="L70" s="95"/>
      <c r="M70" s="96"/>
      <c r="N70" s="96"/>
      <c r="O70" s="75"/>
      <c r="P70" s="75"/>
      <c r="Q70" s="75"/>
      <c r="R70" s="75"/>
      <c r="S70" s="75"/>
      <c r="T70" s="50"/>
      <c r="U70" s="50"/>
      <c r="V70" s="50"/>
      <c r="W70" s="50"/>
    </row>
    <row r="71" spans="12:23" x14ac:dyDescent="0.25">
      <c r="L71" s="50"/>
      <c r="M71" s="50"/>
      <c r="N71" s="50"/>
      <c r="O71" s="50"/>
      <c r="P71" s="51"/>
      <c r="Q71" s="50"/>
      <c r="R71" s="50"/>
      <c r="S71" s="50"/>
      <c r="T71" s="50"/>
      <c r="U71" s="50"/>
      <c r="V71" s="50"/>
      <c r="W71" s="50"/>
    </row>
    <row r="72" spans="12:23" x14ac:dyDescent="0.25">
      <c r="L72" s="50"/>
      <c r="M72" s="50"/>
      <c r="N72" s="50"/>
      <c r="O72" s="50"/>
      <c r="P72" s="51"/>
      <c r="Q72" s="50"/>
      <c r="R72" s="50"/>
      <c r="S72" s="50"/>
      <c r="T72" s="50"/>
      <c r="U72" s="50"/>
      <c r="V72" s="50"/>
      <c r="W72" s="50"/>
    </row>
  </sheetData>
  <sheetProtection password="8A06" sheet="1" objects="1" scenarios="1"/>
  <mergeCells count="13">
    <mergeCell ref="W43:W44"/>
    <mergeCell ref="A23:A25"/>
    <mergeCell ref="A27:A29"/>
    <mergeCell ref="A31:A33"/>
    <mergeCell ref="A19:A21"/>
    <mergeCell ref="A8:D10"/>
    <mergeCell ref="A14:A17"/>
    <mergeCell ref="A40:A41"/>
    <mergeCell ref="H20:AJ20"/>
    <mergeCell ref="AL27:AL28"/>
    <mergeCell ref="D11:D12"/>
    <mergeCell ref="B11:C11"/>
    <mergeCell ref="B12:C12"/>
  </mergeCells>
  <conditionalFormatting sqref="D45 D47 D49 D51">
    <cfRule type="containsText" dxfId="5" priority="6" operator="containsText" text="Ja">
      <formula>NOT(ISERROR(SEARCH("Ja",D45)))</formula>
    </cfRule>
  </conditionalFormatting>
  <conditionalFormatting sqref="D45 D47 D49 D51">
    <cfRule type="containsText" dxfId="4" priority="5" operator="containsText" text="Nein">
      <formula>NOT(ISERROR(SEARCH("Nein",D45)))</formula>
    </cfRule>
  </conditionalFormatting>
  <conditionalFormatting sqref="D43">
    <cfRule type="containsText" dxfId="3" priority="3" operator="containsText" text="Ja">
      <formula>NOT(ISERROR(SEARCH("Ja",D43)))</formula>
    </cfRule>
    <cfRule type="containsText" dxfId="2" priority="4" operator="containsText" text="Nein">
      <formula>NOT(ISERROR(SEARCH("Nein",D43)))</formula>
    </cfRule>
  </conditionalFormatting>
  <conditionalFormatting sqref="D37">
    <cfRule type="containsText" dxfId="1" priority="1" operator="containsText" text="Nein">
      <formula>NOT(ISERROR(SEARCH("Nein",D37)))</formula>
    </cfRule>
    <cfRule type="containsText" dxfId="0" priority="2" operator="containsText" text="Ja">
      <formula>NOT(ISERROR(SEARCH("Ja",D37)))</formula>
    </cfRule>
  </conditionalFormatting>
  <dataValidations count="5">
    <dataValidation type="decimal" allowBlank="1" showInputMessage="1" showErrorMessage="1" errorTitle="Grabsteindicke" error="Diese Berechnungshilfe gilt nur für Grabsteindicken ≥ 0,12 m" sqref="D16" xr:uid="{00000000-0002-0000-0000-000000000000}">
      <formula1>0.12</formula1>
      <formula2>1</formula2>
    </dataValidation>
    <dataValidation type="decimal" allowBlank="1" showInputMessage="1" showErrorMessage="1" errorTitle="Grabmalhöhe" error="Diese Berechnungshilfe gilt nur für Grabmalhöhen ≤ 1,4 m" sqref="D14" xr:uid="{00000000-0002-0000-0000-000001000000}">
      <formula1>0</formula1>
      <formula2>1.4</formula2>
    </dataValidation>
    <dataValidation type="decimal" allowBlank="1" showInputMessage="1" showErrorMessage="1" errorTitle="Formfaktor" error="Der Formfaktor muss zwischen 0 und 1 sein!" sqref="D17" xr:uid="{00000000-0002-0000-0000-000002000000}">
      <formula1>0</formula1>
      <formula2>1</formula2>
    </dataValidation>
    <dataValidation type="decimal" allowBlank="1" showInputMessage="1" showErrorMessage="1" errorTitle="Fundamenthöhe" error="Diese Berechnungshilfe gilt nur für Fundamenthöhen ≥ 0,2 m!" sqref="D24" xr:uid="{00000000-0002-0000-0000-000003000000}">
      <formula1>0.2</formula1>
      <formula2>2</formula2>
    </dataValidation>
    <dataValidation type="decimal" allowBlank="1" showInputMessage="1" showErrorMessage="1" errorTitle="Fundamentbreite" error="Diese Berechnungshilfe gilt nur für Fundamentbreiten ≥ 0,3 m" sqref="D25" xr:uid="{00000000-0002-0000-0000-000004000000}">
      <formula1>0.3</formula1>
      <formula2>2</formula2>
    </dataValidation>
  </dataValidation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showGridLines="0" zoomScale="130" zoomScaleNormal="130" workbookViewId="0">
      <selection activeCell="E11" sqref="E11"/>
    </sheetView>
  </sheetViews>
  <sheetFormatPr baseColWidth="10" defaultColWidth="11.44140625" defaultRowHeight="13.8" x14ac:dyDescent="0.25"/>
  <cols>
    <col min="1" max="1" width="34.44140625" style="1" customWidth="1"/>
    <col min="2" max="2" width="9" style="3" customWidth="1"/>
    <col min="3" max="3" width="7.44140625" style="3" customWidth="1"/>
    <col min="4" max="256" width="9.109375" style="2" customWidth="1"/>
    <col min="257" max="16384" width="11.44140625" style="2"/>
  </cols>
  <sheetData>
    <row r="1" spans="1:5" ht="15" x14ac:dyDescent="0.25">
      <c r="A1" s="16" t="s">
        <v>22</v>
      </c>
      <c r="B1" s="18" t="s">
        <v>23</v>
      </c>
      <c r="C1" s="29">
        <v>24</v>
      </c>
    </row>
    <row r="2" spans="1:5" ht="14.4" x14ac:dyDescent="0.25">
      <c r="A2" s="16" t="s">
        <v>80</v>
      </c>
      <c r="B2" s="18" t="s">
        <v>78</v>
      </c>
      <c r="C2" s="29" t="s">
        <v>81</v>
      </c>
    </row>
    <row r="3" spans="1:5" ht="15" x14ac:dyDescent="0.25">
      <c r="C3" s="13"/>
    </row>
    <row r="4" spans="1:5" ht="15" x14ac:dyDescent="0.25">
      <c r="A4" s="16" t="s">
        <v>29</v>
      </c>
      <c r="B4" s="18" t="s">
        <v>4</v>
      </c>
      <c r="C4" s="36">
        <f>'Eingaben + Ergebnisse'!D16</f>
        <v>0.16</v>
      </c>
    </row>
    <row r="5" spans="1:5" ht="15" x14ac:dyDescent="0.25">
      <c r="C5" s="14"/>
    </row>
    <row r="6" spans="1:5" ht="15" x14ac:dyDescent="0.25">
      <c r="A6" s="16" t="s">
        <v>25</v>
      </c>
      <c r="B6" s="18" t="s">
        <v>7</v>
      </c>
      <c r="C6" s="28">
        <f>'Eingaben + Ergebnisse'!D14*'Eingaben + Ergebnisse'!D15*'Eingaben + Ergebnisse'!D16*9.81*'Eingaben + Ergebnisse'!D35*'Eingaben + Ergebnisse'!D17</f>
        <v>2.3204966400000004</v>
      </c>
      <c r="E6" s="5"/>
    </row>
    <row r="7" spans="1:5" ht="15" x14ac:dyDescent="0.25">
      <c r="A7" s="16" t="s">
        <v>26</v>
      </c>
      <c r="B7" s="18" t="s">
        <v>7</v>
      </c>
      <c r="C7" s="28">
        <f>'Eingaben + Ergebnisse'!D19*'Eingaben + Ergebnisse'!D20*'Eingaben + Ergebnisse'!D21*'Eingaben + Ergebnisse'!D35*9.81</f>
        <v>1.0987200000000001</v>
      </c>
    </row>
    <row r="8" spans="1:5" ht="15" x14ac:dyDescent="0.25">
      <c r="A8" s="16" t="s">
        <v>50</v>
      </c>
      <c r="B8" s="18" t="s">
        <v>7</v>
      </c>
      <c r="C8" s="28">
        <f>'Eingaben + Ergebnisse'!D23*'Eingaben + Ergebnisse'!D24*'Eingaben + Ergebnisse'!D25*Vorberechnungen!C1</f>
        <v>2.4000000000000004</v>
      </c>
    </row>
    <row r="9" spans="1:5" ht="15" x14ac:dyDescent="0.25">
      <c r="C9" s="13"/>
    </row>
    <row r="10" spans="1:5" ht="15" x14ac:dyDescent="0.25">
      <c r="A10" s="16" t="s">
        <v>51</v>
      </c>
      <c r="B10" s="18" t="s">
        <v>7</v>
      </c>
      <c r="C10" s="28">
        <f>C6+C7</f>
        <v>3.4192166400000006</v>
      </c>
    </row>
    <row r="11" spans="1:5" ht="15" x14ac:dyDescent="0.25">
      <c r="A11" s="16" t="s">
        <v>54</v>
      </c>
      <c r="B11" s="18" t="s">
        <v>7</v>
      </c>
      <c r="C11" s="28">
        <f>C6+C7+C8</f>
        <v>5.8192166400000005</v>
      </c>
    </row>
    <row r="12" spans="1:5" ht="15" x14ac:dyDescent="0.25">
      <c r="C12" s="15"/>
    </row>
    <row r="13" spans="1:5" ht="15" x14ac:dyDescent="0.25">
      <c r="A13" s="16" t="s">
        <v>59</v>
      </c>
      <c r="B13" s="18" t="s">
        <v>4</v>
      </c>
      <c r="C13" s="29">
        <f>'Eingaben + Ergebnisse'!D14+'Eingaben + Ergebnisse'!D21</f>
        <v>1.3</v>
      </c>
    </row>
    <row r="14" spans="1:5" ht="15" x14ac:dyDescent="0.25">
      <c r="A14" s="16" t="s">
        <v>55</v>
      </c>
      <c r="B14" s="18" t="s">
        <v>4</v>
      </c>
      <c r="C14" s="28">
        <f>'Eingaben + Ergebnisse'!D14+'Eingaben + Ergebnisse'!D21+'Eingaben + Ergebnisse'!D24</f>
        <v>1.5</v>
      </c>
    </row>
    <row r="15" spans="1:5" ht="15" x14ac:dyDescent="0.25">
      <c r="C15" s="13"/>
    </row>
    <row r="16" spans="1:5" ht="15" x14ac:dyDescent="0.25">
      <c r="A16" s="16" t="s">
        <v>67</v>
      </c>
      <c r="B16" s="18" t="s">
        <v>7</v>
      </c>
      <c r="C16" s="29">
        <f>'Eingaben + Ergebnisse'!D27*'Eingaben + Ergebnisse'!D28*'Eingaben + Ergebnisse'!D29*'Eingaben + Ergebnisse'!D35*9.81</f>
        <v>0</v>
      </c>
    </row>
    <row r="17" spans="1:3" ht="15" x14ac:dyDescent="0.25">
      <c r="A17" s="16" t="s">
        <v>68</v>
      </c>
      <c r="B17" s="18" t="s">
        <v>7</v>
      </c>
      <c r="C17" s="29">
        <f>9.81*'Eingaben + Ergebnisse'!D35*'Eingaben + Ergebnisse'!D31*'Eingaben + Ergebnisse'!D32*'Eingaben + Ergebnisse'!D33</f>
        <v>0</v>
      </c>
    </row>
  </sheetData>
  <sheetProtection algorithmName="SHA-512" hashValue="8Zp9mbgvwOjePwFXXhMuMWaK6FiJa8R6Qo18+RP1ejxs0Od/RF/PhFg2xHEdd80ZAYcW/1v5OCiY7mq9qhJ4jQ==" saltValue="16XNZryswxGM1OWhYjZbD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showGridLines="0" showRowColHeaders="0" topLeftCell="A7" zoomScale="130" zoomScaleNormal="130" workbookViewId="0">
      <selection activeCell="B15" sqref="B15"/>
    </sheetView>
  </sheetViews>
  <sheetFormatPr baseColWidth="10" defaultColWidth="32.5546875" defaultRowHeight="13.8" x14ac:dyDescent="0.25"/>
  <cols>
    <col min="1" max="1" width="32" style="9" customWidth="1"/>
    <col min="2" max="2" width="36.44140625" style="2" customWidth="1"/>
    <col min="3" max="3" width="11.33203125" style="3" customWidth="1"/>
    <col min="4" max="4" width="9.88671875" style="3" customWidth="1"/>
    <col min="5" max="16384" width="32.5546875" style="2"/>
  </cols>
  <sheetData>
    <row r="1" spans="1:4" ht="15" customHeight="1" x14ac:dyDescent="0.25">
      <c r="A1" s="113" t="s">
        <v>8</v>
      </c>
      <c r="B1" s="17" t="s">
        <v>27</v>
      </c>
      <c r="C1" s="18" t="s">
        <v>7</v>
      </c>
      <c r="D1" s="28">
        <f>IF(('Eingaben + Ergebnisse'!D14+'Eingaben + Ergebnisse'!D21)&gt;0.7,0.5,0.3)</f>
        <v>0.5</v>
      </c>
    </row>
    <row r="2" spans="1:4" ht="15" customHeight="1" x14ac:dyDescent="0.25">
      <c r="A2" s="114"/>
      <c r="B2" s="17" t="s">
        <v>9</v>
      </c>
      <c r="C2" s="18" t="s">
        <v>4</v>
      </c>
      <c r="D2" s="36">
        <f>IF(('Eingaben + Ergebnisse'!D14+'Eingaben + Ergebnisse'!D21)&gt;1.2,(1.2-'Eingaben + Ergebnisse'!D21),'Eingaben + Ergebnisse'!D14)</f>
        <v>1</v>
      </c>
    </row>
    <row r="3" spans="1:4" ht="15" customHeight="1" x14ac:dyDescent="0.25">
      <c r="A3" s="114"/>
      <c r="B3" s="17" t="s">
        <v>48</v>
      </c>
      <c r="C3" s="18" t="s">
        <v>33</v>
      </c>
      <c r="D3" s="28">
        <v>1.5</v>
      </c>
    </row>
    <row r="4" spans="1:4" ht="15" customHeight="1" x14ac:dyDescent="0.25">
      <c r="A4" s="115"/>
      <c r="B4" s="17" t="s">
        <v>28</v>
      </c>
      <c r="C4" s="18" t="s">
        <v>11</v>
      </c>
      <c r="D4" s="28">
        <f>(D1*D2*D3)</f>
        <v>0.75</v>
      </c>
    </row>
    <row r="5" spans="1:4" x14ac:dyDescent="0.25">
      <c r="D5" s="13"/>
    </row>
    <row r="6" spans="1:4" ht="15" customHeight="1" x14ac:dyDescent="0.25">
      <c r="A6" s="116" t="s">
        <v>10</v>
      </c>
      <c r="B6" s="17" t="s">
        <v>25</v>
      </c>
      <c r="C6" s="18" t="s">
        <v>7</v>
      </c>
      <c r="D6" s="28">
        <f>Vorberechnungen!C6</f>
        <v>2.3204966400000004</v>
      </c>
    </row>
    <row r="7" spans="1:4" ht="15" customHeight="1" x14ac:dyDescent="0.25">
      <c r="A7" s="116"/>
      <c r="B7" s="17" t="s">
        <v>49</v>
      </c>
      <c r="C7" s="18" t="s">
        <v>33</v>
      </c>
      <c r="D7" s="28">
        <v>1.8</v>
      </c>
    </row>
    <row r="8" spans="1:4" s="3" customFormat="1" ht="15" customHeight="1" x14ac:dyDescent="0.25">
      <c r="A8" s="116"/>
      <c r="B8" s="17" t="s">
        <v>30</v>
      </c>
      <c r="C8" s="18" t="s">
        <v>11</v>
      </c>
      <c r="D8" s="36">
        <f>(('Eingaben + Ergebnisse'!D14/40))*Vorberechnungen!C6</f>
        <v>6.3813657600000018E-2</v>
      </c>
    </row>
    <row r="9" spans="1:4" ht="15" customHeight="1" x14ac:dyDescent="0.25">
      <c r="A9" s="116"/>
      <c r="B9" s="17" t="s">
        <v>10</v>
      </c>
      <c r="C9" s="18" t="s">
        <v>11</v>
      </c>
      <c r="D9" s="28">
        <f>D6*(Vorberechnungen!C4/2)-D8</f>
        <v>0.12182607360000003</v>
      </c>
    </row>
    <row r="10" spans="1:4" x14ac:dyDescent="0.25">
      <c r="D10" s="13"/>
    </row>
    <row r="11" spans="1:4" ht="15" customHeight="1" x14ac:dyDescent="0.25">
      <c r="A11" s="113" t="s">
        <v>12</v>
      </c>
      <c r="B11" s="17" t="s">
        <v>13</v>
      </c>
      <c r="C11" s="18" t="s">
        <v>11</v>
      </c>
      <c r="D11" s="28">
        <f>D4</f>
        <v>0.75</v>
      </c>
    </row>
    <row r="12" spans="1:4" ht="15" customHeight="1" x14ac:dyDescent="0.25">
      <c r="A12" s="115"/>
      <c r="B12" s="17" t="s">
        <v>14</v>
      </c>
      <c r="C12" s="18" t="s">
        <v>11</v>
      </c>
      <c r="D12" s="28">
        <f>D9/D7</f>
        <v>6.7681152000000008E-2</v>
      </c>
    </row>
    <row r="13" spans="1:4" x14ac:dyDescent="0.25">
      <c r="D13" s="13"/>
    </row>
    <row r="14" spans="1:4" x14ac:dyDescent="0.25">
      <c r="A14" s="19" t="s">
        <v>15</v>
      </c>
      <c r="B14" s="17"/>
      <c r="C14" s="18" t="s">
        <v>11</v>
      </c>
      <c r="D14" s="28">
        <f>D11-D12</f>
        <v>0.68231884799999998</v>
      </c>
    </row>
    <row r="15" spans="1:4" x14ac:dyDescent="0.25">
      <c r="D15" s="13"/>
    </row>
    <row r="16" spans="1:4" x14ac:dyDescent="0.25">
      <c r="A16" s="19" t="s">
        <v>16</v>
      </c>
      <c r="B16" s="17" t="s">
        <v>17</v>
      </c>
      <c r="C16" s="18" t="s">
        <v>7</v>
      </c>
      <c r="D16" s="28">
        <f>D14/(Vorberechnungen!C4/2)</f>
        <v>8.5289856000000004</v>
      </c>
    </row>
    <row r="17" spans="1:4" x14ac:dyDescent="0.25">
      <c r="D17" s="13"/>
    </row>
    <row r="18" spans="1:4" x14ac:dyDescent="0.25">
      <c r="A18" s="19" t="s">
        <v>89</v>
      </c>
      <c r="B18" s="17"/>
      <c r="C18" s="18" t="s">
        <v>18</v>
      </c>
      <c r="D18" s="29">
        <v>0.15</v>
      </c>
    </row>
    <row r="19" spans="1:4" x14ac:dyDescent="0.25">
      <c r="D19" s="13"/>
    </row>
    <row r="20" spans="1:4" ht="15" customHeight="1" x14ac:dyDescent="0.25">
      <c r="A20" s="26" t="s">
        <v>19</v>
      </c>
      <c r="B20" s="20"/>
      <c r="C20" s="22" t="s">
        <v>20</v>
      </c>
      <c r="D20" s="37">
        <f>D16/D18</f>
        <v>56.859904000000007</v>
      </c>
    </row>
    <row r="21" spans="1:4" ht="15" customHeight="1" x14ac:dyDescent="0.25">
      <c r="A21" s="27"/>
      <c r="B21" s="23"/>
      <c r="C21" s="24"/>
      <c r="D21" s="24"/>
    </row>
  </sheetData>
  <sheetProtection algorithmName="SHA-512" hashValue="vw9xjLF2/l62EGihIaRwRaDxy0oPsJBfymhsOwki4MENO94DREutw32UQVRHEgecjlDrm0Gbro0LZ3anH2LKew==" saltValue="6DERtgzIp1JRGQcACoKBnQ==" spinCount="100000" sheet="1" objects="1" scenarios="1"/>
  <mergeCells count="3">
    <mergeCell ref="A1:A4"/>
    <mergeCell ref="A6:A9"/>
    <mergeCell ref="A11:A1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showGridLines="0" zoomScale="130" zoomScaleNormal="130" workbookViewId="0">
      <selection activeCell="C3" sqref="C3"/>
    </sheetView>
  </sheetViews>
  <sheetFormatPr baseColWidth="10" defaultColWidth="11.44140625" defaultRowHeight="13.8" x14ac:dyDescent="0.25"/>
  <cols>
    <col min="1" max="1" width="32.44140625" style="1" customWidth="1"/>
    <col min="2" max="2" width="9.109375" style="3" customWidth="1"/>
    <col min="3" max="3" width="10.6640625" style="3" customWidth="1"/>
    <col min="4" max="5" width="9.109375" style="2" customWidth="1"/>
    <col min="6" max="6" width="13.5546875" style="2" customWidth="1"/>
    <col min="7" max="256" width="9.109375" style="2" customWidth="1"/>
    <col min="257" max="16384" width="11.44140625" style="2"/>
  </cols>
  <sheetData>
    <row r="1" spans="1:3" x14ac:dyDescent="0.25">
      <c r="A1" s="16" t="s">
        <v>52</v>
      </c>
      <c r="B1" s="18" t="s">
        <v>4</v>
      </c>
      <c r="C1" s="28">
        <f>(Vorberechnungen!C11*(Vorberechnungen!C14/40))/(Vorberechnungen!C11)</f>
        <v>3.7499999999999999E-2</v>
      </c>
    </row>
    <row r="2" spans="1:3" x14ac:dyDescent="0.25">
      <c r="C2" s="15"/>
    </row>
    <row r="3" spans="1:3" x14ac:dyDescent="0.25">
      <c r="A3" s="16" t="s">
        <v>98</v>
      </c>
      <c r="B3" s="18" t="s">
        <v>4</v>
      </c>
      <c r="C3" s="28">
        <f>('Eingaben + Ergebnisse'!D24)+(IF(('Eingaben + Ergebnisse'!D14+'Eingaben + Ergebnisse'!D21)&lt;1.2,('Eingaben + Ergebnisse'!D14+'Eingaben + Ergebnisse'!D21),1.2))</f>
        <v>1.4</v>
      </c>
    </row>
    <row r="4" spans="1:3" x14ac:dyDescent="0.25">
      <c r="A4" s="16" t="s">
        <v>53</v>
      </c>
      <c r="B4" s="18" t="s">
        <v>4</v>
      </c>
      <c r="C4" s="28">
        <f>C1+(('Nachweis Kippsicherheit + Dübel'!D1*C3)/Vorberechnungen!C11)</f>
        <v>0.15779110502406041</v>
      </c>
    </row>
    <row r="5" spans="1:3" x14ac:dyDescent="0.25">
      <c r="C5" s="13"/>
    </row>
    <row r="6" spans="1:3" x14ac:dyDescent="0.25">
      <c r="A6" s="16" t="s">
        <v>56</v>
      </c>
      <c r="B6" s="18" t="s">
        <v>4</v>
      </c>
      <c r="C6" s="28">
        <f>'Eingaben + Ergebnisse'!D25/3</f>
        <v>0.16666666666666666</v>
      </c>
    </row>
    <row r="7" spans="1:3" x14ac:dyDescent="0.25">
      <c r="C7" s="15"/>
    </row>
    <row r="8" spans="1:3" x14ac:dyDescent="0.25">
      <c r="A8" s="16" t="s">
        <v>57</v>
      </c>
      <c r="B8" s="18" t="s">
        <v>4</v>
      </c>
      <c r="C8" s="28">
        <f>'Eingaben + Ergebnisse'!D25/6</f>
        <v>8.3333333333333329E-2</v>
      </c>
    </row>
    <row r="9" spans="1:3" x14ac:dyDescent="0.25">
      <c r="A9" s="2"/>
      <c r="B9" s="7"/>
    </row>
    <row r="10" spans="1:3" x14ac:dyDescent="0.25">
      <c r="A10" s="2"/>
    </row>
    <row r="11" spans="1:3" x14ac:dyDescent="0.25">
      <c r="A11" s="2"/>
    </row>
    <row r="17" spans="4:4" x14ac:dyDescent="0.25">
      <c r="D17" s="1"/>
    </row>
  </sheetData>
  <sheetProtection algorithmName="SHA-512" hashValue="H02PaaEcBAAyhuoSIM5i5QhYkks8kPynb1mXuJhV0FCTdl2qBCiZ/hUr37+W2ZvDO0zsImQfU/nhJFfDP+sjpA==" saltValue="L4djJsuiG8119pT+ZyJux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showGridLines="0" showRowColHeaders="0" zoomScale="130" zoomScaleNormal="130" workbookViewId="0">
      <selection activeCell="C7" sqref="C7"/>
    </sheetView>
  </sheetViews>
  <sheetFormatPr baseColWidth="10" defaultColWidth="11.44140625" defaultRowHeight="13.8" x14ac:dyDescent="0.25"/>
  <cols>
    <col min="1" max="1" width="27.88671875" style="1" customWidth="1"/>
    <col min="2" max="2" width="10" style="3" customWidth="1"/>
    <col min="3" max="3" width="12.44140625" style="3" customWidth="1"/>
    <col min="4" max="4" width="14.33203125" style="2" customWidth="1"/>
    <col min="5" max="256" width="9.109375" style="2" customWidth="1"/>
    <col min="257" max="16384" width="11.44140625" style="2"/>
  </cols>
  <sheetData>
    <row r="1" spans="1:3" x14ac:dyDescent="0.25">
      <c r="A1" s="16" t="s">
        <v>31</v>
      </c>
      <c r="B1" s="18" t="s">
        <v>4</v>
      </c>
      <c r="C1" s="29">
        <f>'Eingaben + Ergebnisse'!D24</f>
        <v>0.2</v>
      </c>
    </row>
    <row r="2" spans="1:3" x14ac:dyDescent="0.25">
      <c r="C2" s="13"/>
    </row>
    <row r="3" spans="1:3" x14ac:dyDescent="0.25">
      <c r="A3" s="16" t="s">
        <v>90</v>
      </c>
      <c r="B3" s="18" t="s">
        <v>4</v>
      </c>
      <c r="C3" s="29">
        <f>('Eingaben + Ergebnisse'!D25-(IF('Eingaben + Ergebnisse'!D20=0,'Eingaben + Ergebnisse'!D16,'Eingaben + Ergebnisse'!D20)))/2</f>
        <v>0.125</v>
      </c>
    </row>
    <row r="4" spans="1:3" x14ac:dyDescent="0.25">
      <c r="C4" s="13"/>
    </row>
    <row r="5" spans="1:3" x14ac:dyDescent="0.25">
      <c r="A5" s="16" t="s">
        <v>32</v>
      </c>
      <c r="B5" s="18" t="s">
        <v>33</v>
      </c>
      <c r="C5" s="35">
        <f>0.85*(C1/C3)</f>
        <v>1.36</v>
      </c>
    </row>
    <row r="6" spans="1:3" x14ac:dyDescent="0.25">
      <c r="C6" s="15"/>
    </row>
    <row r="7" spans="1:3" x14ac:dyDescent="0.25">
      <c r="A7" s="16" t="s">
        <v>61</v>
      </c>
      <c r="B7" s="18" t="s">
        <v>60</v>
      </c>
      <c r="C7" s="35">
        <f>'Nachweis Bodenpressung'!C7/1000</f>
        <v>5.6798153555213816E-2</v>
      </c>
    </row>
    <row r="8" spans="1:3" x14ac:dyDescent="0.25">
      <c r="C8" s="15"/>
    </row>
    <row r="9" spans="1:3" x14ac:dyDescent="0.25">
      <c r="A9" s="16" t="s">
        <v>63</v>
      </c>
      <c r="B9" s="18" t="s">
        <v>33</v>
      </c>
      <c r="C9" s="29">
        <v>1.5</v>
      </c>
    </row>
    <row r="10" spans="1:3" x14ac:dyDescent="0.25">
      <c r="C10" s="15"/>
    </row>
    <row r="11" spans="1:3" x14ac:dyDescent="0.25">
      <c r="A11" s="16" t="s">
        <v>62</v>
      </c>
      <c r="B11" s="18" t="s">
        <v>33</v>
      </c>
      <c r="C11" s="29">
        <v>0.7</v>
      </c>
    </row>
    <row r="12" spans="1:3" x14ac:dyDescent="0.25">
      <c r="C12" s="13"/>
    </row>
    <row r="13" spans="1:3" x14ac:dyDescent="0.25">
      <c r="A13" s="16" t="s">
        <v>34</v>
      </c>
      <c r="B13" s="18" t="s">
        <v>60</v>
      </c>
      <c r="C13" s="28">
        <f>(13*C11)/C9</f>
        <v>6.0666666666666664</v>
      </c>
    </row>
    <row r="14" spans="1:3" x14ac:dyDescent="0.25">
      <c r="C14" s="13"/>
    </row>
    <row r="15" spans="1:3" x14ac:dyDescent="0.25">
      <c r="A15" s="16" t="s">
        <v>35</v>
      </c>
      <c r="B15" s="18"/>
      <c r="C15" s="28">
        <f>SQRT(((3*C7)/'Nachweis Bewehrung'!C13))</f>
        <v>0.1675917629563578</v>
      </c>
    </row>
    <row r="16" spans="1:3" x14ac:dyDescent="0.25">
      <c r="C16" s="13"/>
    </row>
    <row r="17" spans="1:5" x14ac:dyDescent="0.25">
      <c r="A17" s="21"/>
      <c r="B17" s="11"/>
      <c r="C17" s="38"/>
      <c r="D17" s="6"/>
      <c r="E17" s="6"/>
    </row>
    <row r="18" spans="1:5" x14ac:dyDescent="0.25">
      <c r="D18" s="6"/>
      <c r="E18" s="6"/>
    </row>
    <row r="19" spans="1:5" x14ac:dyDescent="0.25">
      <c r="D19" s="6"/>
      <c r="E19" s="6"/>
    </row>
    <row r="20" spans="1:5" x14ac:dyDescent="0.25">
      <c r="D20" s="6"/>
      <c r="E20" s="6"/>
    </row>
    <row r="21" spans="1:5" x14ac:dyDescent="0.25">
      <c r="D21" s="6"/>
      <c r="E21" s="6"/>
    </row>
    <row r="22" spans="1:5" x14ac:dyDescent="0.25">
      <c r="D22" s="6"/>
      <c r="E22" s="6"/>
    </row>
    <row r="23" spans="1:5" x14ac:dyDescent="0.25">
      <c r="D23" s="6"/>
      <c r="E23" s="6"/>
    </row>
    <row r="24" spans="1:5" x14ac:dyDescent="0.25">
      <c r="D24" s="6"/>
      <c r="E24" s="6"/>
    </row>
  </sheetData>
  <sheetProtection algorithmName="SHA-512" hashValue="Y/qHJeUTXlr63lf6wJzD+OQRuq7UqIr/Ozmyu1WhdXUCURGd1gzHM8IDeUaclNIt2NaWPQfr9wx5IWwE2rafwg==" saltValue="FLsY6hInNUCnqnWKLn6MLA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showGridLines="0" showRowColHeaders="0" zoomScale="145" zoomScaleNormal="145" workbookViewId="0">
      <selection activeCell="C3" sqref="C3"/>
    </sheetView>
  </sheetViews>
  <sheetFormatPr baseColWidth="10" defaultColWidth="11.44140625" defaultRowHeight="13.8" x14ac:dyDescent="0.25"/>
  <cols>
    <col min="1" max="1" width="32.33203125" style="1" customWidth="1"/>
    <col min="2" max="2" width="9.109375" style="4" customWidth="1"/>
    <col min="3" max="3" width="8.88671875" style="4" customWidth="1"/>
    <col min="4" max="256" width="9.109375" style="2" customWidth="1"/>
    <col min="257" max="16384" width="11.44140625" style="2"/>
  </cols>
  <sheetData>
    <row r="1" spans="1:6" x14ac:dyDescent="0.25">
      <c r="A1" s="16" t="s">
        <v>38</v>
      </c>
      <c r="B1" s="25" t="s">
        <v>24</v>
      </c>
      <c r="C1" s="30">
        <v>70</v>
      </c>
    </row>
    <row r="2" spans="1:6" x14ac:dyDescent="0.25">
      <c r="C2" s="31"/>
    </row>
    <row r="3" spans="1:6" x14ac:dyDescent="0.25">
      <c r="A3" s="16" t="s">
        <v>40</v>
      </c>
      <c r="B3" s="25" t="s">
        <v>33</v>
      </c>
      <c r="C3" s="32">
        <v>1.35</v>
      </c>
    </row>
    <row r="4" spans="1:6" x14ac:dyDescent="0.25">
      <c r="C4" s="33"/>
    </row>
    <row r="5" spans="1:6" x14ac:dyDescent="0.25">
      <c r="A5" s="16" t="s">
        <v>58</v>
      </c>
      <c r="B5" s="25" t="s">
        <v>7</v>
      </c>
      <c r="C5" s="34">
        <f>Vorberechnungen!C11*C3</f>
        <v>7.8559424640000008</v>
      </c>
    </row>
    <row r="6" spans="1:6" x14ac:dyDescent="0.25">
      <c r="C6" s="31"/>
    </row>
    <row r="7" spans="1:6" x14ac:dyDescent="0.25">
      <c r="A7" s="16" t="s">
        <v>41</v>
      </c>
      <c r="B7" s="25" t="s">
        <v>24</v>
      </c>
      <c r="C7" s="32">
        <f>ABS((2*C5)/(3*'Eingaben + Ergebnisse'!D23*(('Eingaben + Ergebnisse'!D25/2)-'Nachweis Gebrauchstauglichkeit'!C4)))</f>
        <v>56.798153555213815</v>
      </c>
    </row>
    <row r="10" spans="1:6" x14ac:dyDescent="0.25">
      <c r="F10" s="8"/>
    </row>
  </sheetData>
  <sheetProtection algorithmName="SHA-512" hashValue="rdssjzudD3zIsZReIor2X9dZUo4aVd3P58aC23r2i//Z5Thz1mw3zrDVc44ACa8LY0cuT9zN44U9Tqh3FM2h0w==" saltValue="HpZ62d6RTKSgJzkq70MOZA==" spinCount="100000" sheet="1" objects="1" scenario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showGridLines="0" showRowColHeaders="0" zoomScale="145" zoomScaleNormal="145" workbookViewId="0">
      <selection activeCell="D6" sqref="D6"/>
    </sheetView>
  </sheetViews>
  <sheetFormatPr baseColWidth="10" defaultRowHeight="14.4" x14ac:dyDescent="0.3"/>
  <cols>
    <col min="1" max="1" width="19.88671875" style="12" customWidth="1"/>
    <col min="2" max="2" width="26.5546875" customWidth="1"/>
    <col min="3" max="3" width="9.109375" style="10" customWidth="1"/>
    <col min="4" max="4" width="10.109375" style="10" customWidth="1"/>
    <col min="5" max="256" width="9.109375" customWidth="1"/>
  </cols>
  <sheetData>
    <row r="1" spans="1:4" x14ac:dyDescent="0.3">
      <c r="A1" s="113" t="s">
        <v>69</v>
      </c>
      <c r="B1" s="17" t="s">
        <v>70</v>
      </c>
      <c r="C1" s="18" t="s">
        <v>71</v>
      </c>
      <c r="D1" s="28">
        <f>(Vorberechnungen!C16*100*'Eingaben + Ergebnisse'!D27)/8</f>
        <v>0</v>
      </c>
    </row>
    <row r="2" spans="1:4" x14ac:dyDescent="0.3">
      <c r="A2" s="114"/>
      <c r="B2" s="17" t="s">
        <v>73</v>
      </c>
      <c r="C2" s="18" t="s">
        <v>7</v>
      </c>
      <c r="D2" s="28">
        <v>1</v>
      </c>
    </row>
    <row r="3" spans="1:4" x14ac:dyDescent="0.3">
      <c r="A3" s="114"/>
      <c r="B3" s="17" t="s">
        <v>72</v>
      </c>
      <c r="C3" s="18" t="s">
        <v>71</v>
      </c>
      <c r="D3" s="29">
        <f>(D2*100*'Eingaben + Ergebnisse'!D27)/4</f>
        <v>0</v>
      </c>
    </row>
    <row r="4" spans="1:4" x14ac:dyDescent="0.3">
      <c r="A4" s="114"/>
      <c r="B4" s="17" t="s">
        <v>74</v>
      </c>
      <c r="C4" s="18" t="s">
        <v>75</v>
      </c>
      <c r="D4" s="28" t="e">
        <f>(('Nachweis Abdeckplatte'!D1*1.35)+('Nachweis Abdeckplatte'!D3*1.5))/(100*'Eingaben + Ergebnisse'!D28)</f>
        <v>#DIV/0!</v>
      </c>
    </row>
    <row r="5" spans="1:4" x14ac:dyDescent="0.3">
      <c r="A5" s="114"/>
      <c r="B5" s="17" t="s">
        <v>76</v>
      </c>
      <c r="C5" s="18" t="s">
        <v>18</v>
      </c>
      <c r="D5" s="28" t="e">
        <f>(6*D4)/(('Eingaben + Ergebnisse'!D29*100)*('Eingaben + Ergebnisse'!D29*100))</f>
        <v>#DIV/0!</v>
      </c>
    </row>
    <row r="6" spans="1:4" x14ac:dyDescent="0.3">
      <c r="A6" s="115"/>
      <c r="B6" s="17" t="s">
        <v>76</v>
      </c>
      <c r="C6" s="18" t="s">
        <v>78</v>
      </c>
      <c r="D6" s="28" t="e">
        <f>D5*10</f>
        <v>#DIV/0!</v>
      </c>
    </row>
    <row r="7" spans="1:4" x14ac:dyDescent="0.3">
      <c r="A7" s="1"/>
      <c r="B7" s="2"/>
      <c r="C7" s="3"/>
      <c r="D7" s="13"/>
    </row>
    <row r="8" spans="1:4" x14ac:dyDescent="0.3">
      <c r="A8" s="16" t="s">
        <v>77</v>
      </c>
      <c r="B8" s="17" t="s">
        <v>79</v>
      </c>
      <c r="C8" s="18" t="s">
        <v>78</v>
      </c>
      <c r="D8" s="28">
        <f>10/1.8</f>
        <v>5.5555555555555554</v>
      </c>
    </row>
    <row r="9" spans="1:4" x14ac:dyDescent="0.3">
      <c r="A9" s="1"/>
      <c r="B9" s="2"/>
      <c r="C9" s="3"/>
      <c r="D9" s="3"/>
    </row>
  </sheetData>
  <sheetProtection algorithmName="SHA-512" hashValue="Rsl/nEq1jdwIdQEeQIeXaccB+FXjRXR08bcCb6Hpav9fjt6iZ6dUmlY5GrRGgHQgWWOjo+rQp1pC/nNEj0Zarg==" saltValue="7xzEh0pZg3n8mO2PXgxPOQ==" spinCount="100000" sheet="1" objects="1" scenarios="1"/>
  <mergeCells count="1">
    <mergeCell ref="A1:A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1"/>
  <sheetViews>
    <sheetView showGridLines="0" showRowColHeaders="0" zoomScale="145" zoomScaleNormal="145" workbookViewId="0">
      <selection activeCell="D7" sqref="D7"/>
    </sheetView>
  </sheetViews>
  <sheetFormatPr baseColWidth="10" defaultRowHeight="14.4" x14ac:dyDescent="0.3"/>
  <cols>
    <col min="1" max="1" width="18.88671875" style="12" customWidth="1"/>
    <col min="2" max="2" width="26.88671875" customWidth="1"/>
    <col min="3" max="256" width="9.109375" customWidth="1"/>
  </cols>
  <sheetData>
    <row r="1" spans="1:4" x14ac:dyDescent="0.3">
      <c r="A1" s="113" t="s">
        <v>69</v>
      </c>
      <c r="B1" s="17" t="s">
        <v>70</v>
      </c>
      <c r="C1" s="18" t="s">
        <v>71</v>
      </c>
      <c r="D1" s="28">
        <f>(100*Vorberechnungen!C17*'Eingaben + Ergebnisse'!D31)/8</f>
        <v>0</v>
      </c>
    </row>
    <row r="2" spans="1:4" x14ac:dyDescent="0.3">
      <c r="A2" s="114"/>
      <c r="B2" s="17" t="s">
        <v>73</v>
      </c>
      <c r="C2" s="18" t="s">
        <v>7</v>
      </c>
      <c r="D2" s="28">
        <v>1</v>
      </c>
    </row>
    <row r="3" spans="1:4" x14ac:dyDescent="0.3">
      <c r="A3" s="114"/>
      <c r="B3" s="17" t="s">
        <v>72</v>
      </c>
      <c r="C3" s="18" t="s">
        <v>71</v>
      </c>
      <c r="D3" s="29">
        <f>(D2*100*'Eingaben + Ergebnisse'!D31)/4</f>
        <v>0</v>
      </c>
    </row>
    <row r="4" spans="1:4" x14ac:dyDescent="0.3">
      <c r="A4" s="114"/>
      <c r="B4" s="17" t="s">
        <v>83</v>
      </c>
      <c r="C4" s="18" t="s">
        <v>7</v>
      </c>
      <c r="D4" s="28">
        <f>Vorberechnungen!C16/2</f>
        <v>0</v>
      </c>
    </row>
    <row r="5" spans="1:4" x14ac:dyDescent="0.3">
      <c r="A5" s="114"/>
      <c r="B5" s="17" t="s">
        <v>84</v>
      </c>
      <c r="C5" s="18" t="s">
        <v>71</v>
      </c>
      <c r="D5" s="28">
        <f>(100*D4*'Eingaben + Ergebnisse'!D31)/8</f>
        <v>0</v>
      </c>
    </row>
    <row r="6" spans="1:4" x14ac:dyDescent="0.3">
      <c r="A6" s="114"/>
      <c r="B6" s="17" t="s">
        <v>76</v>
      </c>
      <c r="C6" s="18" t="s">
        <v>18</v>
      </c>
      <c r="D6" s="28" t="e">
        <f>((1.35*D1)+(1.5*D3)+(1.35*D5))/D11</f>
        <v>#DIV/0!</v>
      </c>
    </row>
    <row r="7" spans="1:4" x14ac:dyDescent="0.3">
      <c r="A7" s="115"/>
      <c r="B7" s="17" t="s">
        <v>76</v>
      </c>
      <c r="C7" s="18" t="s">
        <v>78</v>
      </c>
      <c r="D7" s="28" t="e">
        <f>D6*10</f>
        <v>#DIV/0!</v>
      </c>
    </row>
    <row r="8" spans="1:4" x14ac:dyDescent="0.3">
      <c r="A8" s="1"/>
      <c r="B8" s="2"/>
      <c r="C8" s="3"/>
      <c r="D8" s="15"/>
    </row>
    <row r="9" spans="1:4" x14ac:dyDescent="0.3">
      <c r="B9" s="2"/>
      <c r="C9" s="3"/>
      <c r="D9" s="13"/>
    </row>
    <row r="10" spans="1:4" x14ac:dyDescent="0.3">
      <c r="A10" s="113" t="s">
        <v>77</v>
      </c>
      <c r="B10" s="17" t="s">
        <v>79</v>
      </c>
      <c r="C10" s="18" t="s">
        <v>78</v>
      </c>
      <c r="D10" s="28">
        <f>10/1.8</f>
        <v>5.5555555555555554</v>
      </c>
    </row>
    <row r="11" spans="1:4" x14ac:dyDescent="0.3">
      <c r="A11" s="115"/>
      <c r="B11" s="17" t="s">
        <v>85</v>
      </c>
      <c r="C11" s="18" t="s">
        <v>86</v>
      </c>
      <c r="D11" s="28">
        <f>(100*'Eingaben + Ergebnisse'!D32*((100*'Eingaben + Ergebnisse'!D33)*(100*'Eingaben + Ergebnisse'!D33)))/6</f>
        <v>0</v>
      </c>
    </row>
  </sheetData>
  <sheetProtection password="8A06" sheet="1" objects="1" scenarios="1"/>
  <mergeCells count="2">
    <mergeCell ref="A1:A7"/>
    <mergeCell ref="A10:A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Eingaben + Ergebnisse</vt:lpstr>
      <vt:lpstr>Vorberechnungen</vt:lpstr>
      <vt:lpstr>Nachweis Kippsicherheit + Dübel</vt:lpstr>
      <vt:lpstr>Nachweis Gebrauchstauglichkeit</vt:lpstr>
      <vt:lpstr>Nachweis Bewehrung</vt:lpstr>
      <vt:lpstr>Nachweis Bodenpressung</vt:lpstr>
      <vt:lpstr>Nachweis Abdeckplatte</vt:lpstr>
      <vt:lpstr>Nachweis Einfassung</vt:lpstr>
      <vt:lpstr>'Eingaben + Ergebnisse'!Druckbereich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Holzer</dc:creator>
  <cp:lastModifiedBy>Raphael Holzer</cp:lastModifiedBy>
  <cp:lastPrinted>2016-12-15T11:52:02Z</cp:lastPrinted>
  <dcterms:created xsi:type="dcterms:W3CDTF">2016-07-26T09:08:30Z</dcterms:created>
  <dcterms:modified xsi:type="dcterms:W3CDTF">2020-03-19T13:03:31Z</dcterms:modified>
</cp:coreProperties>
</file>